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8195" windowHeight="6975"/>
  </bookViews>
  <sheets>
    <sheet name="calcs" sheetId="3" r:id="rId1"/>
    <sheet name="subs-frr" sheetId="1" r:id="rId2"/>
    <sheet name="pop" sheetId="4" r:id="rId3"/>
  </sheets>
  <calcPr calcId="125725" concurrentCalc="0" concurrentManualCount="1"/>
</workbook>
</file>

<file path=xl/calcChain.xml><?xml version="1.0" encoding="utf-8"?>
<calcChain xmlns="http://schemas.openxmlformats.org/spreadsheetml/2006/main">
  <c r="N24" i="3"/>
  <c r="K20"/>
  <c r="K21"/>
  <c r="K22"/>
  <c r="L21"/>
  <c r="N21"/>
  <c r="O21"/>
  <c r="L22"/>
  <c r="N22"/>
  <c r="O22"/>
  <c r="K24"/>
  <c r="L24"/>
  <c r="O24"/>
  <c r="L20"/>
  <c r="N20"/>
  <c r="O20"/>
  <c r="Q7"/>
  <c r="Q8"/>
  <c r="Q10"/>
  <c r="Q6"/>
  <c r="O7"/>
  <c r="O8"/>
  <c r="O10"/>
  <c r="O6"/>
  <c r="F22"/>
  <c r="F21"/>
  <c r="F20"/>
  <c r="H20"/>
  <c r="I20"/>
  <c r="H21"/>
  <c r="I21"/>
  <c r="H22"/>
  <c r="I22"/>
  <c r="I24"/>
  <c r="G6"/>
  <c r="H6"/>
  <c r="I6"/>
  <c r="G7"/>
  <c r="H7"/>
  <c r="I7"/>
  <c r="G8"/>
  <c r="H8"/>
  <c r="I8"/>
  <c r="I10"/>
  <c r="H24"/>
  <c r="L7"/>
  <c r="P7"/>
  <c r="L8"/>
  <c r="P8"/>
  <c r="H10"/>
  <c r="L10"/>
  <c r="P10"/>
  <c r="L6"/>
  <c r="P6"/>
  <c r="N7"/>
  <c r="N8"/>
  <c r="N10"/>
  <c r="N6"/>
  <c r="L17" i="1"/>
  <c r="L16"/>
  <c r="L15"/>
  <c r="K10" i="3"/>
  <c r="K6"/>
  <c r="K7"/>
  <c r="K8"/>
  <c r="H5" i="4"/>
  <c r="H4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9"/>
  <c r="C28"/>
  <c r="F5"/>
  <c r="F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D8"/>
  <c r="C8"/>
  <c r="D5"/>
  <c r="D4"/>
  <c r="V30" i="3"/>
  <c r="V31"/>
  <c r="V32"/>
  <c r="V33"/>
  <c r="V34"/>
  <c r="V35"/>
  <c r="V36"/>
  <c r="V37"/>
  <c r="V38"/>
  <c r="V39"/>
  <c r="V40"/>
  <c r="V41"/>
  <c r="V42"/>
  <c r="V43"/>
  <c r="V44"/>
  <c r="N15" i="1"/>
  <c r="P15"/>
  <c r="N17"/>
  <c r="P17"/>
  <c r="F4"/>
  <c r="F15"/>
  <c r="F5"/>
  <c r="F16"/>
  <c r="F6"/>
  <c r="F17"/>
  <c r="O17"/>
  <c r="O15"/>
  <c r="N16"/>
  <c r="O16"/>
  <c r="Q17"/>
  <c r="Q16"/>
  <c r="Q15"/>
  <c r="P16"/>
  <c r="U27"/>
  <c r="U28"/>
  <c r="U29"/>
  <c r="U30"/>
  <c r="U31"/>
  <c r="U32"/>
  <c r="U33"/>
  <c r="U34"/>
  <c r="U35"/>
  <c r="U36"/>
  <c r="U37"/>
  <c r="U38"/>
  <c r="U39"/>
  <c r="U40"/>
  <c r="U41"/>
  <c r="I17"/>
  <c r="H16"/>
  <c r="G15"/>
  <c r="N6"/>
  <c r="N5"/>
  <c r="N4"/>
  <c r="G4"/>
</calcChain>
</file>

<file path=xl/sharedStrings.xml><?xml version="1.0" encoding="utf-8"?>
<sst xmlns="http://schemas.openxmlformats.org/spreadsheetml/2006/main" count="57" uniqueCount="37">
  <si>
    <t>ER to UT</t>
  </si>
  <si>
    <t>UT to Hancock</t>
  </si>
  <si>
    <t>Hancock to Highland</t>
  </si>
  <si>
    <t>IIIIIII</t>
  </si>
  <si>
    <t>IIIIII</t>
  </si>
  <si>
    <t>Capital Cost Per Rider (Thousands)</t>
  </si>
  <si>
    <t>Daily Ridership Contribution (Thousands)</t>
  </si>
  <si>
    <t>2030 Annual Ridership Contribution (Millions)</t>
  </si>
  <si>
    <t>Cumulative Capital Cost (Millions)</t>
  </si>
  <si>
    <t>Inflation reality check (subsidy | computation | period)</t>
  </si>
  <si>
    <t>Assumptions: 4% annual inflation | '14 Average rider bus subsidy: $3.41 | Ridership &amp; Costs: Project Connect 5.22.14 Council Briefing | Rail '30 FRR 5%</t>
  </si>
  <si>
    <t>Cumulative '30 O&amp;M Cost (Millions)</t>
  </si>
  <si>
    <t xml:space="preserve"> Cumulative '30 O&amp;M Cost Per Rider</t>
  </si>
  <si>
    <t xml:space="preserve"> '30 Savings vs. Avg. Bus Subsidy</t>
  </si>
  <si>
    <t xml:space="preserve"> '30 Savings if '14 bus subsidy $2</t>
  </si>
  <si>
    <t xml:space="preserve"> '30 Savings if '14 bus subsidy $1</t>
  </si>
  <si>
    <t>HL</t>
  </si>
  <si>
    <t>ERC</t>
  </si>
  <si>
    <t>Growth Rate</t>
  </si>
  <si>
    <t>Corridor Pop Growth</t>
  </si>
  <si>
    <t>Year</t>
  </si>
  <si>
    <t>HL Pop</t>
  </si>
  <si>
    <t>ER Pop</t>
  </si>
  <si>
    <t>2014 Ridership Fraction</t>
  </si>
  <si>
    <t>2014 Daily Ridership</t>
  </si>
  <si>
    <t>Full Line</t>
  </si>
  <si>
    <t>Cost per 2014 rail rider</t>
  </si>
  <si>
    <t>2014 Annual Ridership (Millions)</t>
  </si>
  <si>
    <t>Share of expected 2030 growth by 2014</t>
  </si>
  <si>
    <t>Cumulative Ops Cost (2014 Millions)</t>
  </si>
  <si>
    <t>Assumptions: Ridership &amp; Costs: Project Connect 5.22.14 Council Briefing | '14 bus cost per rider: 2014 CapMetro Budget, p. 68 | 4% Inflation assumption</t>
  </si>
  <si>
    <t>Subsidy per 2014 rail rider (10% FRR)</t>
  </si>
  <si>
    <t>Subsidy per 2014 rail rider (25% FRR)</t>
  </si>
  <si>
    <t>Subsidy per 2014 rail rider (20% FRR)</t>
  </si>
  <si>
    <t xml:space="preserve"> </t>
  </si>
  <si>
    <t>Benchmark Scenario</t>
  </si>
  <si>
    <t>Savings vs. peer bus subsidy ($2.21)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</si>
</sst>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5"/>
      <color theme="6" tint="-0.249977111117893"/>
      <name val="Calibri"/>
      <family val="2"/>
      <scheme val="minor"/>
    </font>
    <font>
      <sz val="11"/>
      <color theme="1"/>
      <name val="Calibri Light"/>
      <family val="2"/>
    </font>
    <font>
      <sz val="11"/>
      <color theme="3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 Light"/>
      <family val="2"/>
    </font>
    <font>
      <sz val="11"/>
      <color theme="2" tint="-0.499984740745262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6" tint="0.39994506668294322"/>
      </left>
      <right/>
      <top style="thin">
        <color theme="6" tint="0.39994506668294322"/>
      </top>
      <bottom/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/>
      <top/>
      <bottom/>
      <diagonal/>
    </border>
    <border>
      <left/>
      <right style="thin">
        <color theme="6" tint="0.39994506668294322"/>
      </right>
      <top/>
      <bottom/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/>
    <xf numFmtId="0" fontId="0" fillId="2" borderId="4" xfId="0" applyFill="1" applyBorder="1" applyAlignment="1">
      <alignment horizontal="right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4" fillId="2" borderId="0" xfId="0" applyFont="1" applyFill="1" applyBorder="1"/>
    <xf numFmtId="0" fontId="5" fillId="2" borderId="0" xfId="0" applyFont="1" applyFill="1"/>
    <xf numFmtId="165" fontId="6" fillId="2" borderId="0" xfId="0" applyNumberFormat="1" applyFont="1" applyFill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3" xfId="0" applyFont="1" applyFill="1" applyBorder="1"/>
    <xf numFmtId="0" fontId="0" fillId="2" borderId="12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7" fillId="2" borderId="0" xfId="0" applyFont="1" applyFill="1" applyBorder="1" applyAlignment="1">
      <alignment vertical="center"/>
    </xf>
    <xf numFmtId="2" fontId="5" fillId="2" borderId="0" xfId="0" applyNumberFormat="1" applyFont="1" applyFill="1"/>
    <xf numFmtId="3" fontId="0" fillId="2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3" fontId="0" fillId="2" borderId="0" xfId="0" applyNumberForma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2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14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4:X44"/>
  <sheetViews>
    <sheetView tabSelected="1" topLeftCell="A5" workbookViewId="0">
      <selection activeCell="R22" sqref="R22"/>
    </sheetView>
  </sheetViews>
  <sheetFormatPr defaultRowHeight="15"/>
  <cols>
    <col min="1" max="2" width="9.140625" style="1"/>
    <col min="3" max="3" width="19.5703125" style="1" customWidth="1"/>
    <col min="4" max="5" width="2" style="1" customWidth="1"/>
    <col min="6" max="6" width="9.7109375" style="4" bestFit="1" customWidth="1"/>
    <col min="7" max="7" width="9.85546875" style="1" bestFit="1" customWidth="1"/>
    <col min="8" max="8" width="9.7109375" style="1" bestFit="1" customWidth="1"/>
    <col min="9" max="9" width="8.5703125" style="1" bestFit="1" customWidth="1"/>
    <col min="10" max="10" width="1.7109375" style="1" customWidth="1"/>
    <col min="11" max="11" width="10.5703125" style="1" customWidth="1"/>
    <col min="12" max="12" width="10.5703125" style="1" bestFit="1" customWidth="1"/>
    <col min="13" max="13" width="2.5703125" style="1" customWidth="1"/>
    <col min="14" max="16" width="11" style="1" customWidth="1"/>
    <col min="17" max="17" width="10.5703125" style="1" customWidth="1"/>
    <col min="18" max="18" width="12.7109375" style="1" customWidth="1"/>
    <col min="19" max="20" width="9.140625" style="1"/>
    <col min="21" max="21" width="9.85546875" style="1" customWidth="1"/>
    <col min="22" max="22" width="4" style="1" bestFit="1" customWidth="1"/>
    <col min="23" max="23" width="2.7109375" style="1" bestFit="1" customWidth="1"/>
    <col min="24" max="16384" width="9.140625" style="1"/>
  </cols>
  <sheetData>
    <row r="4" spans="3:17" ht="48.75">
      <c r="C4" s="54"/>
      <c r="D4" s="54"/>
      <c r="E4" s="54"/>
      <c r="F4" s="2" t="s">
        <v>7</v>
      </c>
      <c r="G4" s="2" t="s">
        <v>28</v>
      </c>
      <c r="H4" s="2" t="s">
        <v>27</v>
      </c>
      <c r="I4" s="2" t="s">
        <v>24</v>
      </c>
      <c r="J4" s="2"/>
      <c r="K4" s="2" t="s">
        <v>29</v>
      </c>
      <c r="L4" s="2" t="s">
        <v>26</v>
      </c>
      <c r="M4" s="2"/>
      <c r="N4" s="2" t="s">
        <v>31</v>
      </c>
      <c r="O4" s="2" t="s">
        <v>36</v>
      </c>
      <c r="P4" s="2" t="s">
        <v>32</v>
      </c>
      <c r="Q4" s="2" t="s">
        <v>36</v>
      </c>
    </row>
    <row r="5" spans="3:17" ht="9.75" customHeight="1"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3:17">
      <c r="C6" s="1" t="s">
        <v>0</v>
      </c>
      <c r="F6" s="55">
        <v>4.1974999999999998</v>
      </c>
      <c r="G6" s="46">
        <f>pop!H5</f>
        <v>0.72583163612284896</v>
      </c>
      <c r="H6" s="55">
        <f>F6*G6</f>
        <v>3.0466782926256584</v>
      </c>
      <c r="I6" s="45">
        <f>H6*1000000/365</f>
        <v>8347.0638154127628</v>
      </c>
      <c r="J6" s="4"/>
      <c r="K6" s="58">
        <f>13*(0.96^7)</f>
        <v>9.7688172154060791</v>
      </c>
      <c r="L6" s="56">
        <f>K6/H6</f>
        <v>3.2063829118588076</v>
      </c>
      <c r="M6" s="56"/>
      <c r="N6" s="59">
        <f>$L6-($L6*0.1)</f>
        <v>2.8857446206729267</v>
      </c>
      <c r="O6" s="57">
        <f>2.21-N6</f>
        <v>-0.67574462067292673</v>
      </c>
      <c r="P6" s="59">
        <f>$L6-($L6*0.25)</f>
        <v>2.404787183894106</v>
      </c>
      <c r="Q6" s="57">
        <f>2.21-P6</f>
        <v>-0.19478718389410599</v>
      </c>
    </row>
    <row r="7" spans="3:17">
      <c r="C7" s="1" t="s">
        <v>1</v>
      </c>
      <c r="F7" s="55">
        <v>1.2774999999999999</v>
      </c>
      <c r="G7" s="46">
        <f>pop!H4</f>
        <v>0.57013863670194576</v>
      </c>
      <c r="H7" s="55">
        <f>F7*G7</f>
        <v>0.72835210838673559</v>
      </c>
      <c r="I7" s="45">
        <f t="shared" ref="I7:I8" si="0">H7*1000000/365</f>
        <v>1995.4852284568096</v>
      </c>
      <c r="J7" s="4"/>
      <c r="K7" s="58">
        <f>17*(0.96^7)</f>
        <v>12.774607127838719</v>
      </c>
      <c r="L7" s="56">
        <f>K7/(H7+H6)</f>
        <v>3.3839746361811556</v>
      </c>
      <c r="M7" s="56"/>
      <c r="N7" s="59">
        <f t="shared" ref="N7:N10" si="1">$L7-($L7*0.1)</f>
        <v>3.0455771725630401</v>
      </c>
      <c r="O7" s="57">
        <f t="shared" ref="O7:O10" si="2">2.21-N7</f>
        <v>-0.83557717256304009</v>
      </c>
      <c r="P7" s="59">
        <f t="shared" ref="P7:P10" si="3">$L7-($L7*0.25)</f>
        <v>2.5379809771358666</v>
      </c>
      <c r="Q7" s="57">
        <f t="shared" ref="Q7:Q10" si="4">2.21-P7</f>
        <v>-0.3279809771358666</v>
      </c>
    </row>
    <row r="8" spans="3:17">
      <c r="C8" s="1" t="s">
        <v>2</v>
      </c>
      <c r="F8" s="55">
        <v>1.095</v>
      </c>
      <c r="G8" s="46">
        <f>pop!H4</f>
        <v>0.57013863670194576</v>
      </c>
      <c r="H8" s="55">
        <f>F8*G8</f>
        <v>0.6243018071886306</v>
      </c>
      <c r="I8" s="45">
        <f t="shared" si="0"/>
        <v>1710.4159101058372</v>
      </c>
      <c r="J8" s="4"/>
      <c r="K8" s="58">
        <f>22*(0.96^7)</f>
        <v>16.531844518379518</v>
      </c>
      <c r="L8" s="56">
        <f>K8/(H8+H7+H6)</f>
        <v>3.7578077162624011</v>
      </c>
      <c r="M8" s="56"/>
      <c r="N8" s="59">
        <f t="shared" si="1"/>
        <v>3.382026944636161</v>
      </c>
      <c r="O8" s="57">
        <f t="shared" si="2"/>
        <v>-1.1720269446361611</v>
      </c>
      <c r="P8" s="59">
        <f t="shared" si="3"/>
        <v>2.8183557871968006</v>
      </c>
      <c r="Q8" s="57">
        <f t="shared" si="4"/>
        <v>-0.60835578719680061</v>
      </c>
    </row>
    <row r="9" spans="3:17" ht="6" customHeight="1">
      <c r="G9" s="4"/>
      <c r="H9" s="55"/>
      <c r="I9" s="4"/>
      <c r="J9" s="4"/>
      <c r="K9" s="58"/>
      <c r="L9" s="56"/>
      <c r="M9" s="56"/>
      <c r="N9" s="59"/>
      <c r="O9" s="57"/>
      <c r="P9" s="59"/>
      <c r="Q9" s="57"/>
    </row>
    <row r="10" spans="3:17">
      <c r="C10" s="1" t="s">
        <v>25</v>
      </c>
      <c r="G10" s="4"/>
      <c r="H10" s="55">
        <f>SUM(H6:H8)</f>
        <v>4.3993322082010247</v>
      </c>
      <c r="I10" s="45">
        <f>SUM(I6:I8)</f>
        <v>12052.96495397541</v>
      </c>
      <c r="J10" s="4"/>
      <c r="K10" s="58">
        <f>K8</f>
        <v>16.531844518379518</v>
      </c>
      <c r="L10" s="56">
        <f>K10/H10</f>
        <v>3.7578077162624011</v>
      </c>
      <c r="M10" s="56"/>
      <c r="N10" s="59">
        <f t="shared" si="1"/>
        <v>3.382026944636161</v>
      </c>
      <c r="O10" s="57">
        <f t="shared" si="2"/>
        <v>-1.1720269446361611</v>
      </c>
      <c r="P10" s="59">
        <f t="shared" si="3"/>
        <v>2.8183557871968006</v>
      </c>
      <c r="Q10" s="57">
        <f t="shared" si="4"/>
        <v>-0.60835578719680061</v>
      </c>
    </row>
    <row r="11" spans="3:17" ht="7.5" customHeight="1"/>
    <row r="12" spans="3:17">
      <c r="C12" s="29" t="s">
        <v>30</v>
      </c>
    </row>
    <row r="16" spans="3:17">
      <c r="C16" s="1" t="s">
        <v>35</v>
      </c>
    </row>
    <row r="18" spans="3:24" ht="48.75">
      <c r="C18" s="54"/>
      <c r="D18" s="54"/>
      <c r="E18" s="54"/>
      <c r="F18" s="2" t="s">
        <v>7</v>
      </c>
      <c r="G18" s="2" t="s">
        <v>28</v>
      </c>
      <c r="H18" s="2" t="s">
        <v>27</v>
      </c>
      <c r="I18" s="2" t="s">
        <v>24</v>
      </c>
      <c r="J18" s="2"/>
      <c r="K18" s="2" t="s">
        <v>29</v>
      </c>
      <c r="L18" s="2" t="s">
        <v>26</v>
      </c>
      <c r="M18" s="2"/>
      <c r="N18" s="2" t="s">
        <v>33</v>
      </c>
      <c r="O18" s="2" t="s">
        <v>36</v>
      </c>
      <c r="P18" s="2"/>
      <c r="Q18" s="2"/>
    </row>
    <row r="19" spans="3:24"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3:24">
      <c r="C20" s="1" t="s">
        <v>0</v>
      </c>
      <c r="F20" s="55">
        <f>4.1975*0.75</f>
        <v>3.1481249999999998</v>
      </c>
      <c r="G20" s="46">
        <v>0.72583163612284896</v>
      </c>
      <c r="H20" s="55">
        <f>F20*G20</f>
        <v>2.2850087194692437</v>
      </c>
      <c r="I20" s="45">
        <f>H20*1000000/365</f>
        <v>6260.2978615595721</v>
      </c>
      <c r="J20" s="4"/>
      <c r="K20" s="58">
        <f>13*(0.96^7)*1.2</f>
        <v>11.722580658487294</v>
      </c>
      <c r="L20" s="56">
        <f>K20/H20</f>
        <v>5.1302126589740924</v>
      </c>
      <c r="M20" s="56"/>
      <c r="N20" s="59">
        <f>$L20-($L20*0.2)</f>
        <v>4.1041701271792741</v>
      </c>
      <c r="O20" s="57">
        <f>2.21-N20</f>
        <v>-1.8941701271792741</v>
      </c>
      <c r="P20" s="59"/>
      <c r="Q20" s="57"/>
    </row>
    <row r="21" spans="3:24">
      <c r="C21" s="1" t="s">
        <v>1</v>
      </c>
      <c r="F21" s="55">
        <f>1.2775*0.75</f>
        <v>0.95812500000000012</v>
      </c>
      <c r="G21" s="46">
        <v>0.57013863670194576</v>
      </c>
      <c r="H21" s="55">
        <f>F21*G21</f>
        <v>0.54626408129005188</v>
      </c>
      <c r="I21" s="45">
        <f t="shared" ref="I21:I22" si="5">H21*1000000/365</f>
        <v>1496.6139213426079</v>
      </c>
      <c r="J21" s="4"/>
      <c r="K21" s="58">
        <f>17*(0.96^7)*1.2</f>
        <v>15.329528553406462</v>
      </c>
      <c r="L21" s="56">
        <f>K21/(H21+H20)</f>
        <v>5.4143594178898491</v>
      </c>
      <c r="M21" s="56"/>
      <c r="N21" s="59">
        <f t="shared" ref="N21:N22" si="6">$L21-($L21*0.2)</f>
        <v>4.3314875343118793</v>
      </c>
      <c r="O21" s="57">
        <f t="shared" ref="O21:O24" si="7">2.21-N21</f>
        <v>-2.1214875343118793</v>
      </c>
      <c r="P21" s="59"/>
      <c r="Q21" s="57"/>
    </row>
    <row r="22" spans="3:24">
      <c r="C22" s="1" t="s">
        <v>2</v>
      </c>
      <c r="F22" s="55">
        <f>1.095*0.75</f>
        <v>0.82125000000000004</v>
      </c>
      <c r="G22" s="46">
        <v>0.57013863670194576</v>
      </c>
      <c r="H22" s="55">
        <f>F22*G22</f>
        <v>0.46822635539147295</v>
      </c>
      <c r="I22" s="45">
        <f t="shared" si="5"/>
        <v>1282.811932579378</v>
      </c>
      <c r="J22" s="4"/>
      <c r="K22" s="58">
        <f>22*(0.96^7)*1.2</f>
        <v>19.838213422055421</v>
      </c>
      <c r="L22" s="56">
        <f>K22/(H22+H21+H20)</f>
        <v>6.0124923460198412</v>
      </c>
      <c r="M22" s="56"/>
      <c r="N22" s="59">
        <f t="shared" si="6"/>
        <v>4.8099938768158728</v>
      </c>
      <c r="O22" s="57">
        <f t="shared" si="7"/>
        <v>-2.5999938768158728</v>
      </c>
      <c r="P22" s="59"/>
      <c r="Q22" s="57"/>
    </row>
    <row r="23" spans="3:24" ht="8.25" customHeight="1">
      <c r="G23" s="4"/>
      <c r="H23" s="55"/>
      <c r="I23" s="4"/>
      <c r="J23" s="4"/>
      <c r="K23" s="58"/>
      <c r="L23" s="56"/>
      <c r="M23" s="56"/>
      <c r="N23" s="59"/>
      <c r="O23" s="57"/>
      <c r="P23" s="59"/>
      <c r="Q23" s="57"/>
    </row>
    <row r="24" spans="3:24">
      <c r="C24" s="1" t="s">
        <v>25</v>
      </c>
      <c r="G24" s="4"/>
      <c r="H24" s="55">
        <f>SUM(H20:H22)</f>
        <v>3.2994991561507687</v>
      </c>
      <c r="I24" s="45">
        <f>SUM(I20:I22)</f>
        <v>9039.7237154815575</v>
      </c>
      <c r="J24" s="4"/>
      <c r="K24" s="58">
        <f>K22</f>
        <v>19.838213422055421</v>
      </c>
      <c r="L24" s="56">
        <f>K24/H24</f>
        <v>6.0124923460198412</v>
      </c>
      <c r="M24" s="56"/>
      <c r="N24" s="59">
        <f>$L24-($L24*0.2)</f>
        <v>4.8099938768158728</v>
      </c>
      <c r="O24" s="57">
        <f t="shared" si="7"/>
        <v>-2.5999938768158728</v>
      </c>
      <c r="P24" s="59"/>
      <c r="Q24" s="57"/>
    </row>
    <row r="26" spans="3:24">
      <c r="C26" s="29"/>
      <c r="O26" s="1" t="s">
        <v>34</v>
      </c>
    </row>
    <row r="29" spans="3:24">
      <c r="U29" s="29" t="s">
        <v>9</v>
      </c>
      <c r="V29" s="29"/>
      <c r="W29" s="29"/>
      <c r="X29" s="4"/>
    </row>
    <row r="30" spans="3:24">
      <c r="U30" s="29">
        <v>3.41</v>
      </c>
      <c r="V30" s="44">
        <f>U30*1.04</f>
        <v>3.5464000000000002</v>
      </c>
      <c r="W30" s="29">
        <v>1</v>
      </c>
      <c r="X30" s="4"/>
    </row>
    <row r="31" spans="3:24">
      <c r="U31" s="29"/>
      <c r="V31" s="44">
        <f>V30*1.04</f>
        <v>3.6882560000000004</v>
      </c>
      <c r="W31" s="29">
        <v>2</v>
      </c>
      <c r="X31" s="4"/>
    </row>
    <row r="32" spans="3:24">
      <c r="U32" s="29"/>
      <c r="V32" s="44">
        <f t="shared" ref="V32:V44" si="8">V31*1.04</f>
        <v>3.8357862400000005</v>
      </c>
      <c r="W32" s="29">
        <v>3</v>
      </c>
      <c r="X32" s="4"/>
    </row>
    <row r="33" spans="21:24">
      <c r="U33" s="29"/>
      <c r="V33" s="44">
        <f t="shared" si="8"/>
        <v>3.9892176896000007</v>
      </c>
      <c r="W33" s="29">
        <v>4</v>
      </c>
      <c r="X33" s="4"/>
    </row>
    <row r="34" spans="21:24">
      <c r="U34" s="29"/>
      <c r="V34" s="44">
        <f t="shared" si="8"/>
        <v>4.1487863971840007</v>
      </c>
      <c r="W34" s="29">
        <v>5</v>
      </c>
      <c r="X34" s="4"/>
    </row>
    <row r="35" spans="21:24">
      <c r="U35" s="29"/>
      <c r="V35" s="44">
        <f t="shared" si="8"/>
        <v>4.3147378530713612</v>
      </c>
      <c r="W35" s="29">
        <v>6</v>
      </c>
      <c r="X35" s="4"/>
    </row>
    <row r="36" spans="21:24">
      <c r="U36" s="29"/>
      <c r="V36" s="44">
        <f t="shared" si="8"/>
        <v>4.487327367194216</v>
      </c>
      <c r="W36" s="29">
        <v>7</v>
      </c>
      <c r="X36" s="4"/>
    </row>
    <row r="37" spans="21:24">
      <c r="U37" s="29"/>
      <c r="V37" s="44">
        <f t="shared" si="8"/>
        <v>4.6668204618819846</v>
      </c>
      <c r="W37" s="29">
        <v>8</v>
      </c>
      <c r="X37" s="4"/>
    </row>
    <row r="38" spans="21:24">
      <c r="U38" s="29"/>
      <c r="V38" s="44">
        <f t="shared" si="8"/>
        <v>4.8534932803572639</v>
      </c>
      <c r="W38" s="29">
        <v>9</v>
      </c>
      <c r="X38" s="4"/>
    </row>
    <row r="39" spans="21:24">
      <c r="U39" s="29"/>
      <c r="V39" s="44">
        <f t="shared" si="8"/>
        <v>5.0476330115715546</v>
      </c>
      <c r="W39" s="29">
        <v>10</v>
      </c>
      <c r="X39" s="4"/>
    </row>
    <row r="40" spans="21:24">
      <c r="U40" s="29"/>
      <c r="V40" s="44">
        <f t="shared" si="8"/>
        <v>5.2495383320344171</v>
      </c>
      <c r="W40" s="29">
        <v>11</v>
      </c>
      <c r="X40" s="4"/>
    </row>
    <row r="41" spans="21:24">
      <c r="U41" s="29"/>
      <c r="V41" s="44">
        <f t="shared" si="8"/>
        <v>5.4595198653157944</v>
      </c>
      <c r="W41" s="29">
        <v>12</v>
      </c>
      <c r="X41" s="4"/>
    </row>
    <row r="42" spans="21:24">
      <c r="U42" s="29"/>
      <c r="V42" s="44">
        <f t="shared" si="8"/>
        <v>5.6779006599284267</v>
      </c>
      <c r="W42" s="29">
        <v>13</v>
      </c>
      <c r="X42" s="4"/>
    </row>
    <row r="43" spans="21:24">
      <c r="U43" s="29"/>
      <c r="V43" s="44">
        <f>V42*1.04</f>
        <v>5.9050166863255642</v>
      </c>
      <c r="W43" s="29">
        <v>14</v>
      </c>
      <c r="X43" s="4"/>
    </row>
    <row r="44" spans="21:24">
      <c r="U44" s="29"/>
      <c r="V44" s="44">
        <f t="shared" si="8"/>
        <v>6.141217353778587</v>
      </c>
      <c r="W44" s="29">
        <v>15</v>
      </c>
      <c r="X44" s="4"/>
    </row>
  </sheetData>
  <pageMargins left="0.7" right="0.7" top="0.75" bottom="0.75" header="0.3" footer="0.3"/>
  <ignoredErrors>
    <ignoredError sqref="P6:P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C1:W41"/>
  <sheetViews>
    <sheetView topLeftCell="A4" workbookViewId="0">
      <selection activeCell="R24" sqref="B10:R24"/>
    </sheetView>
  </sheetViews>
  <sheetFormatPr defaultRowHeight="15"/>
  <cols>
    <col min="1" max="2" width="9.140625" style="1"/>
    <col min="3" max="3" width="20" style="1" customWidth="1"/>
    <col min="4" max="4" width="2" style="1" customWidth="1"/>
    <col min="5" max="5" width="2.28515625" style="1" customWidth="1"/>
    <col min="6" max="6" width="10.5703125" style="4" customWidth="1"/>
    <col min="7" max="7" width="10.5703125" style="1" customWidth="1"/>
    <col min="8" max="8" width="3.7109375" style="1" customWidth="1"/>
    <col min="9" max="9" width="3.28515625" style="1" customWidth="1"/>
    <col min="10" max="10" width="0.7109375" style="1" customWidth="1"/>
    <col min="11" max="11" width="1.7109375" style="1" customWidth="1"/>
    <col min="12" max="12" width="12" style="1" bestFit="1" customWidth="1"/>
    <col min="13" max="13" width="1.28515625" style="1" customWidth="1"/>
    <col min="14" max="14" width="13.85546875" style="1" bestFit="1" customWidth="1"/>
    <col min="15" max="15" width="10.7109375" style="1" customWidth="1"/>
    <col min="16" max="16" width="12.140625" style="1" customWidth="1"/>
    <col min="17" max="17" width="12.7109375" style="1" customWidth="1"/>
    <col min="18" max="19" width="9.140625" style="1"/>
    <col min="20" max="20" width="9.85546875" style="1" customWidth="1"/>
    <col min="21" max="21" width="4" style="1" bestFit="1" customWidth="1"/>
    <col min="22" max="22" width="2.7109375" style="1" bestFit="1" customWidth="1"/>
    <col min="23" max="16384" width="9.140625" style="1"/>
  </cols>
  <sheetData>
    <row r="1" spans="3:17" ht="18.75" customHeight="1"/>
    <row r="2" spans="3:17">
      <c r="E2" s="9"/>
      <c r="F2" s="10"/>
      <c r="G2" s="11"/>
      <c r="H2" s="11"/>
      <c r="I2" s="11"/>
      <c r="J2" s="12"/>
      <c r="K2" s="8"/>
    </row>
    <row r="3" spans="3:17" ht="35.25" customHeight="1">
      <c r="E3" s="13"/>
      <c r="F3" s="5" t="s">
        <v>6</v>
      </c>
      <c r="G3" s="6"/>
      <c r="H3" s="6"/>
      <c r="I3" s="6"/>
      <c r="J3" s="14"/>
      <c r="K3" s="6"/>
      <c r="L3" s="2" t="s">
        <v>8</v>
      </c>
      <c r="M3" s="27"/>
      <c r="N3" s="2" t="s">
        <v>5</v>
      </c>
    </row>
    <row r="4" spans="3:17">
      <c r="C4" s="22" t="s">
        <v>0</v>
      </c>
      <c r="D4" s="3"/>
      <c r="E4" s="15"/>
      <c r="F4" s="25">
        <f>23/2</f>
        <v>11.5</v>
      </c>
      <c r="G4" s="21" t="str">
        <f>REPT("I",F4*2)</f>
        <v>IIIIIIIIIIIIIIIIIIIIIII</v>
      </c>
      <c r="H4" s="21"/>
      <c r="I4" s="21"/>
      <c r="J4" s="16"/>
      <c r="K4" s="8"/>
      <c r="L4" s="23">
        <v>820</v>
      </c>
      <c r="M4" s="24"/>
      <c r="N4" s="23">
        <f>L4/F4</f>
        <v>71.304347826086953</v>
      </c>
    </row>
    <row r="5" spans="3:17">
      <c r="C5" s="22" t="s">
        <v>1</v>
      </c>
      <c r="D5" s="3"/>
      <c r="E5" s="15"/>
      <c r="F5" s="25">
        <f>(30/2)-F4</f>
        <v>3.5</v>
      </c>
      <c r="G5" s="21"/>
      <c r="H5" s="21" t="s">
        <v>3</v>
      </c>
      <c r="I5" s="21"/>
      <c r="J5" s="16"/>
      <c r="K5" s="8"/>
      <c r="L5" s="23">
        <v>990</v>
      </c>
      <c r="M5" s="24"/>
      <c r="N5" s="23">
        <f>L5/(F4+F5)</f>
        <v>66</v>
      </c>
    </row>
    <row r="6" spans="3:17">
      <c r="C6" s="22" t="s">
        <v>2</v>
      </c>
      <c r="D6" s="3"/>
      <c r="E6" s="15"/>
      <c r="F6" s="25">
        <f>(36/2)-F5-F4</f>
        <v>3</v>
      </c>
      <c r="G6" s="21"/>
      <c r="H6" s="21"/>
      <c r="I6" s="21" t="s">
        <v>4</v>
      </c>
      <c r="J6" s="16"/>
      <c r="K6" s="8"/>
      <c r="L6" s="23">
        <v>1380</v>
      </c>
      <c r="M6" s="24"/>
      <c r="N6" s="23">
        <f>L6/(SUM(F4:F6))</f>
        <v>76.666666666666671</v>
      </c>
    </row>
    <row r="7" spans="3:17">
      <c r="E7" s="13"/>
      <c r="F7" s="7"/>
      <c r="G7" s="8"/>
      <c r="H7" s="8"/>
      <c r="I7" s="8"/>
      <c r="J7" s="16"/>
      <c r="K7" s="8"/>
    </row>
    <row r="8" spans="3:17" ht="7.5" customHeight="1">
      <c r="E8" s="17"/>
      <c r="F8" s="18"/>
      <c r="G8" s="19"/>
      <c r="H8" s="19"/>
      <c r="I8" s="19"/>
      <c r="J8" s="20"/>
      <c r="K8" s="8"/>
    </row>
    <row r="11" spans="3:17" ht="15.75" customHeight="1"/>
    <row r="12" spans="3:17" ht="7.5" customHeight="1">
      <c r="E12" s="31"/>
      <c r="F12" s="32"/>
      <c r="G12" s="33"/>
      <c r="H12" s="33"/>
      <c r="I12" s="33"/>
      <c r="J12" s="34"/>
      <c r="K12" s="8"/>
    </row>
    <row r="13" spans="3:17" ht="48.75">
      <c r="E13" s="35"/>
      <c r="F13" s="5" t="s">
        <v>7</v>
      </c>
      <c r="G13" s="6"/>
      <c r="H13" s="6"/>
      <c r="I13" s="6"/>
      <c r="J13" s="36"/>
      <c r="K13" s="6"/>
      <c r="L13" s="2" t="s">
        <v>11</v>
      </c>
      <c r="M13" s="27"/>
      <c r="N13" s="2" t="s">
        <v>12</v>
      </c>
      <c r="O13" s="2" t="s">
        <v>13</v>
      </c>
      <c r="P13" s="2" t="s">
        <v>14</v>
      </c>
      <c r="Q13" s="2" t="s">
        <v>15</v>
      </c>
    </row>
    <row r="14" spans="3:17" ht="4.5" customHeight="1">
      <c r="E14" s="35"/>
      <c r="F14" s="5"/>
      <c r="G14" s="6"/>
      <c r="H14" s="6"/>
      <c r="I14" s="6"/>
      <c r="J14" s="36"/>
      <c r="K14" s="6"/>
      <c r="L14" s="2"/>
      <c r="M14" s="27"/>
      <c r="N14" s="2"/>
      <c r="O14" s="2"/>
    </row>
    <row r="15" spans="3:17" ht="16.5">
      <c r="C15" s="22" t="s">
        <v>0</v>
      </c>
      <c r="D15" s="3"/>
      <c r="E15" s="37"/>
      <c r="F15" s="25">
        <f>F4*(365/1000)</f>
        <v>4.1974999999999998</v>
      </c>
      <c r="G15" s="43" t="str">
        <f>REPT("I",F15*5)</f>
        <v>IIIIIIIIIIIIIIIIIIII</v>
      </c>
      <c r="H15" s="43"/>
      <c r="I15" s="43"/>
      <c r="J15" s="38"/>
      <c r="K15" s="8"/>
      <c r="L15" s="23">
        <f>13*(1.04^8)</f>
        <v>17.791397655268565</v>
      </c>
      <c r="M15" s="24"/>
      <c r="N15" s="26">
        <f>L15/F15</f>
        <v>4.2385700191229461</v>
      </c>
      <c r="O15" s="26">
        <f>((3.41*(1.04^15))-(N15*0.95))</f>
        <v>2.1145758356117872</v>
      </c>
      <c r="P15" s="30">
        <f>((2*(1.04^15))-(N15*0.95))</f>
        <v>-0.42475450715296548</v>
      </c>
      <c r="Q15" s="30">
        <f>(1*(1.04^15)-(N15*0.95))</f>
        <v>-2.2256980126598824</v>
      </c>
    </row>
    <row r="16" spans="3:17" ht="16.5">
      <c r="C16" s="22" t="s">
        <v>1</v>
      </c>
      <c r="D16" s="3"/>
      <c r="E16" s="37"/>
      <c r="F16" s="25">
        <f t="shared" ref="F16:F17" si="0">F5*(365/1000)</f>
        <v>1.2774999999999999</v>
      </c>
      <c r="G16" s="43"/>
      <c r="H16" s="43" t="str">
        <f>REPT("I",F16*5)</f>
        <v>IIIIII</v>
      </c>
      <c r="I16" s="43"/>
      <c r="J16" s="38"/>
      <c r="K16" s="8"/>
      <c r="L16" s="23">
        <f>17*(1.04^8)</f>
        <v>23.265673856889659</v>
      </c>
      <c r="M16" s="24"/>
      <c r="N16" s="26">
        <f>L16/(F15+F16)</f>
        <v>4.2494381473771066</v>
      </c>
      <c r="O16" s="26">
        <f>((3.41*(1.04^15))-(N16*0.95))</f>
        <v>2.104251113770335</v>
      </c>
      <c r="P16" s="30">
        <f>((2*(1.04^15))-(N16*0.95))</f>
        <v>-0.43507922899441764</v>
      </c>
      <c r="Q16" s="30">
        <f>(1*(1.04^15)-(N16*0.95))</f>
        <v>-2.2360227345013346</v>
      </c>
    </row>
    <row r="17" spans="3:23" ht="16.5">
      <c r="C17" s="22" t="s">
        <v>2</v>
      </c>
      <c r="D17" s="3"/>
      <c r="E17" s="37"/>
      <c r="F17" s="25">
        <f t="shared" si="0"/>
        <v>1.095</v>
      </c>
      <c r="G17" s="43"/>
      <c r="H17" s="43"/>
      <c r="I17" s="43" t="str">
        <f>REPT("I",F17*5)</f>
        <v>IIIII</v>
      </c>
      <c r="J17" s="38"/>
      <c r="K17" s="8"/>
      <c r="L17" s="23">
        <f>22*(1.04^8)</f>
        <v>30.108519108916031</v>
      </c>
      <c r="M17" s="24"/>
      <c r="N17" s="26">
        <f>L17/(SUM(F15:F17))</f>
        <v>4.5827274138380565</v>
      </c>
      <c r="O17" s="26">
        <f>((3.41*(1.04^15))-(N17*0.95))</f>
        <v>1.787626310632433</v>
      </c>
      <c r="P17" s="30">
        <f>((2*(1.04^15))-(N17*0.95))</f>
        <v>-0.75170403213231962</v>
      </c>
      <c r="Q17" s="30">
        <f>(1*(1.04^15)-(N17*0.95))</f>
        <v>-2.5526475376392366</v>
      </c>
    </row>
    <row r="18" spans="3:23" ht="7.5" customHeight="1">
      <c r="E18" s="35"/>
      <c r="F18" s="7"/>
      <c r="G18" s="28"/>
      <c r="H18" s="28"/>
      <c r="I18" s="28"/>
      <c r="J18" s="38"/>
      <c r="K18" s="8"/>
    </row>
    <row r="19" spans="3:23" ht="8.25" customHeight="1">
      <c r="E19" s="39"/>
      <c r="F19" s="40"/>
      <c r="G19" s="41"/>
      <c r="H19" s="41"/>
      <c r="I19" s="41"/>
      <c r="J19" s="42"/>
      <c r="K19" s="8"/>
    </row>
    <row r="21" spans="3:23">
      <c r="C21" s="29" t="s">
        <v>10</v>
      </c>
    </row>
    <row r="26" spans="3:23">
      <c r="T26" s="29" t="s">
        <v>9</v>
      </c>
      <c r="U26" s="29"/>
      <c r="V26" s="29"/>
      <c r="W26" s="4"/>
    </row>
    <row r="27" spans="3:23">
      <c r="T27" s="29">
        <v>3.41</v>
      </c>
      <c r="U27" s="44">
        <f>T27*1.04</f>
        <v>3.5464000000000002</v>
      </c>
      <c r="V27" s="29">
        <v>1</v>
      </c>
      <c r="W27" s="4"/>
    </row>
    <row r="28" spans="3:23">
      <c r="T28" s="29"/>
      <c r="U28" s="44">
        <f>U27*1.04</f>
        <v>3.6882560000000004</v>
      </c>
      <c r="V28" s="29">
        <v>2</v>
      </c>
      <c r="W28" s="4"/>
    </row>
    <row r="29" spans="3:23">
      <c r="T29" s="29"/>
      <c r="U29" s="44">
        <f t="shared" ref="U29:U41" si="1">U28*1.04</f>
        <v>3.8357862400000005</v>
      </c>
      <c r="V29" s="29">
        <v>3</v>
      </c>
      <c r="W29" s="4"/>
    </row>
    <row r="30" spans="3:23">
      <c r="T30" s="29"/>
      <c r="U30" s="44">
        <f t="shared" si="1"/>
        <v>3.9892176896000007</v>
      </c>
      <c r="V30" s="29">
        <v>4</v>
      </c>
      <c r="W30" s="4"/>
    </row>
    <row r="31" spans="3:23">
      <c r="T31" s="29"/>
      <c r="U31" s="44">
        <f t="shared" si="1"/>
        <v>4.1487863971840007</v>
      </c>
      <c r="V31" s="29">
        <v>5</v>
      </c>
      <c r="W31" s="4"/>
    </row>
    <row r="32" spans="3:23">
      <c r="T32" s="29"/>
      <c r="U32" s="44">
        <f t="shared" si="1"/>
        <v>4.3147378530713612</v>
      </c>
      <c r="V32" s="29">
        <v>6</v>
      </c>
      <c r="W32" s="4"/>
    </row>
    <row r="33" spans="20:23">
      <c r="T33" s="29"/>
      <c r="U33" s="44">
        <f t="shared" si="1"/>
        <v>4.487327367194216</v>
      </c>
      <c r="V33" s="29">
        <v>7</v>
      </c>
      <c r="W33" s="4"/>
    </row>
    <row r="34" spans="20:23">
      <c r="T34" s="29"/>
      <c r="U34" s="44">
        <f t="shared" si="1"/>
        <v>4.6668204618819846</v>
      </c>
      <c r="V34" s="29">
        <v>8</v>
      </c>
      <c r="W34" s="4"/>
    </row>
    <row r="35" spans="20:23">
      <c r="T35" s="29"/>
      <c r="U35" s="44">
        <f t="shared" si="1"/>
        <v>4.8534932803572639</v>
      </c>
      <c r="V35" s="29">
        <v>9</v>
      </c>
      <c r="W35" s="4"/>
    </row>
    <row r="36" spans="20:23">
      <c r="T36" s="29"/>
      <c r="U36" s="44">
        <f t="shared" si="1"/>
        <v>5.0476330115715546</v>
      </c>
      <c r="V36" s="29">
        <v>10</v>
      </c>
      <c r="W36" s="4"/>
    </row>
    <row r="37" spans="20:23">
      <c r="T37" s="29"/>
      <c r="U37" s="44">
        <f t="shared" si="1"/>
        <v>5.2495383320344171</v>
      </c>
      <c r="V37" s="29">
        <v>11</v>
      </c>
      <c r="W37" s="4"/>
    </row>
    <row r="38" spans="20:23">
      <c r="T38" s="29"/>
      <c r="U38" s="44">
        <f t="shared" si="1"/>
        <v>5.4595198653157944</v>
      </c>
      <c r="V38" s="29">
        <v>12</v>
      </c>
      <c r="W38" s="4"/>
    </row>
    <row r="39" spans="20:23">
      <c r="T39" s="29"/>
      <c r="U39" s="44">
        <f t="shared" si="1"/>
        <v>5.6779006599284267</v>
      </c>
      <c r="V39" s="29">
        <v>13</v>
      </c>
      <c r="W39" s="4"/>
    </row>
    <row r="40" spans="20:23">
      <c r="T40" s="29"/>
      <c r="U40" s="44">
        <f>U39*1.04</f>
        <v>5.9050166863255642</v>
      </c>
      <c r="V40" s="29">
        <v>14</v>
      </c>
      <c r="W40" s="4"/>
    </row>
    <row r="41" spans="20:23">
      <c r="T41" s="29"/>
      <c r="U41" s="44">
        <f t="shared" si="1"/>
        <v>6.141217353778587</v>
      </c>
      <c r="V41" s="29">
        <v>15</v>
      </c>
      <c r="W4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I28"/>
  <sheetViews>
    <sheetView workbookViewId="0"/>
  </sheetViews>
  <sheetFormatPr defaultRowHeight="15"/>
  <cols>
    <col min="1" max="5" width="9.140625" style="1"/>
    <col min="6" max="6" width="12" style="1" bestFit="1" customWidth="1"/>
    <col min="7" max="16384" width="9.140625" style="1"/>
  </cols>
  <sheetData>
    <row r="2" spans="2:9">
      <c r="B2" s="52" t="s">
        <v>19</v>
      </c>
      <c r="C2" s="4"/>
      <c r="D2" s="4"/>
      <c r="E2" s="4"/>
      <c r="F2" s="4"/>
    </row>
    <row r="3" spans="2:9">
      <c r="B3" s="4"/>
      <c r="C3" s="48">
        <v>2010</v>
      </c>
      <c r="D3" s="48">
        <v>2014</v>
      </c>
      <c r="E3" s="48">
        <v>2030</v>
      </c>
      <c r="F3" s="48" t="s">
        <v>18</v>
      </c>
      <c r="G3" s="49"/>
      <c r="H3" s="49" t="s">
        <v>23</v>
      </c>
      <c r="I3" s="49"/>
    </row>
    <row r="4" spans="2:9">
      <c r="B4" s="53" t="s">
        <v>16</v>
      </c>
      <c r="C4" s="45">
        <v>11959</v>
      </c>
      <c r="D4" s="4">
        <f>C4*((1+F4)^4)</f>
        <v>13762.576551348267</v>
      </c>
      <c r="E4" s="45">
        <v>24139</v>
      </c>
      <c r="F4" s="46">
        <f>(E4/C4)^(1/(20))-1</f>
        <v>3.5741124556268877E-2</v>
      </c>
      <c r="H4" s="1">
        <f>D4/E4</f>
        <v>0.57013863670194576</v>
      </c>
    </row>
    <row r="5" spans="2:9">
      <c r="B5" s="53" t="s">
        <v>17</v>
      </c>
      <c r="C5" s="45">
        <v>33221</v>
      </c>
      <c r="D5" s="4">
        <f>C5*((1+F5)^4)</f>
        <v>35991.813340423709</v>
      </c>
      <c r="E5" s="45">
        <v>49587</v>
      </c>
      <c r="F5" s="46">
        <f>(E5/C5)^(1/(20)) -1</f>
        <v>2.0229217231891417E-2</v>
      </c>
      <c r="H5" s="1">
        <f>D5/E5</f>
        <v>0.72583163612284896</v>
      </c>
    </row>
    <row r="7" spans="2:9">
      <c r="B7" s="51" t="s">
        <v>20</v>
      </c>
      <c r="C7" s="51" t="s">
        <v>21</v>
      </c>
      <c r="D7" s="51" t="s">
        <v>22</v>
      </c>
    </row>
    <row r="8" spans="2:9">
      <c r="B8" s="50">
        <v>2010</v>
      </c>
      <c r="C8" s="47">
        <f>C4</f>
        <v>11959</v>
      </c>
      <c r="D8" s="47">
        <f>C5</f>
        <v>33221</v>
      </c>
    </row>
    <row r="9" spans="2:9">
      <c r="B9" s="50">
        <v>2011</v>
      </c>
      <c r="C9" s="1">
        <f>C8*(1+$F$4)</f>
        <v>12386.42810856842</v>
      </c>
      <c r="D9" s="1">
        <f>D8*(1+$F$5)</f>
        <v>33893.034825660667</v>
      </c>
    </row>
    <row r="10" spans="2:9">
      <c r="B10" s="50">
        <v>2012</v>
      </c>
      <c r="C10" s="1">
        <f t="shared" ref="C10:C28" si="0">C9*(1+$F$4)</f>
        <v>12829.132978404034</v>
      </c>
      <c r="D10" s="1">
        <f t="shared" ref="D10:D28" si="1">D9*(1+$F$5)</f>
        <v>34578.664389797021</v>
      </c>
    </row>
    <row r="11" spans="2:9">
      <c r="B11" s="50">
        <v>2013</v>
      </c>
      <c r="C11" s="1">
        <f t="shared" si="0"/>
        <v>13287.660618134109</v>
      </c>
      <c r="D11" s="1">
        <f t="shared" si="1"/>
        <v>35278.163703326893</v>
      </c>
    </row>
    <row r="12" spans="2:9">
      <c r="B12" s="50">
        <v>2014</v>
      </c>
      <c r="C12" s="1">
        <f t="shared" si="0"/>
        <v>13762.576551348269</v>
      </c>
      <c r="D12" s="1">
        <f t="shared" si="1"/>
        <v>35991.813340423716</v>
      </c>
    </row>
    <row r="13" spans="2:9">
      <c r="B13" s="50">
        <v>2015</v>
      </c>
      <c r="C13" s="1">
        <f t="shared" si="0"/>
        <v>14254.466514085194</v>
      </c>
      <c r="D13" s="1">
        <f t="shared" si="1"/>
        <v>36719.899551056835</v>
      </c>
    </row>
    <row r="14" spans="2:9">
      <c r="B14" s="50">
        <v>2016</v>
      </c>
      <c r="C14" s="1">
        <f t="shared" si="0"/>
        <v>14763.937177248277</v>
      </c>
      <c r="D14" s="1">
        <f t="shared" si="1"/>
        <v>37462.714375808398</v>
      </c>
    </row>
    <row r="15" spans="2:9">
      <c r="B15" s="50">
        <v>2017</v>
      </c>
      <c r="C15" s="1">
        <f t="shared" si="0"/>
        <v>15291.616894841236</v>
      </c>
      <c r="D15" s="1">
        <f t="shared" si="1"/>
        <v>38220.555763012926</v>
      </c>
    </row>
    <row r="16" spans="2:9">
      <c r="B16" s="50">
        <v>2018</v>
      </c>
      <c r="C16" s="1">
        <f t="shared" si="0"/>
        <v>15838.156478946503</v>
      </c>
      <c r="D16" s="1">
        <f t="shared" si="1"/>
        <v>38993.727688266532</v>
      </c>
    </row>
    <row r="17" spans="2:4">
      <c r="B17" s="50">
        <v>2019</v>
      </c>
      <c r="C17" s="1">
        <f t="shared" si="0"/>
        <v>16404.230002402208</v>
      </c>
      <c r="D17" s="1">
        <f t="shared" si="1"/>
        <v>39782.540276353691</v>
      </c>
    </row>
    <row r="18" spans="2:4">
      <c r="B18" s="50">
        <v>2020</v>
      </c>
      <c r="C18" s="1">
        <f t="shared" si="0"/>
        <v>16990.535630167749</v>
      </c>
      <c r="D18" s="1">
        <f t="shared" si="1"/>
        <v>40587.309925640518</v>
      </c>
    </row>
    <row r="19" spans="2:4">
      <c r="B19" s="50">
        <v>2021</v>
      </c>
      <c r="C19" s="1">
        <f t="shared" si="0"/>
        <v>17597.7964804033</v>
      </c>
      <c r="D19" s="1">
        <f t="shared" si="1"/>
        <v>41408.359434984406</v>
      </c>
    </row>
    <row r="20" spans="2:4">
      <c r="B20" s="50">
        <v>2022</v>
      </c>
      <c r="C20" s="1">
        <f t="shared" si="0"/>
        <v>18226.761516325263</v>
      </c>
      <c r="D20" s="1">
        <f t="shared" si="1"/>
        <v>42246.01813321095</v>
      </c>
    </row>
    <row r="21" spans="2:4">
      <c r="B21" s="50">
        <v>2023</v>
      </c>
      <c r="C21" s="1">
        <f t="shared" si="0"/>
        <v>18878.206469937653</v>
      </c>
      <c r="D21" s="1">
        <f t="shared" si="1"/>
        <v>43100.6220112101</v>
      </c>
    </row>
    <row r="22" spans="2:4">
      <c r="B22" s="50">
        <v>2024</v>
      </c>
      <c r="C22" s="1">
        <f t="shared" si="0"/>
        <v>19552.934798778657</v>
      </c>
      <c r="D22" s="1">
        <f t="shared" si="1"/>
        <v>43972.513856704507</v>
      </c>
    </row>
    <row r="23" spans="2:4">
      <c r="B23" s="50">
        <v>2025</v>
      </c>
      <c r="C23" s="1">
        <f t="shared" si="0"/>
        <v>20251.77867686241</v>
      </c>
      <c r="D23" s="1">
        <f t="shared" si="1"/>
        <v>44862.043391744141</v>
      </c>
    </row>
    <row r="24" spans="2:4">
      <c r="B24" s="50">
        <v>2026</v>
      </c>
      <c r="C24" s="1">
        <f t="shared" si="0"/>
        <v>20975.600021038139</v>
      </c>
      <c r="D24" s="1">
        <f t="shared" si="1"/>
        <v>45769.567412982273</v>
      </c>
    </row>
    <row r="25" spans="2:4">
      <c r="B25" s="50">
        <v>2027</v>
      </c>
      <c r="C25" s="1">
        <f t="shared" si="0"/>
        <v>21725.291554032538</v>
      </c>
      <c r="D25" s="1">
        <f t="shared" si="1"/>
        <v>46695.449934789191</v>
      </c>
    </row>
    <row r="26" spans="2:4">
      <c r="B26" s="50">
        <v>2028</v>
      </c>
      <c r="C26" s="1">
        <f t="shared" si="0"/>
        <v>22501.77790548647</v>
      </c>
      <c r="D26" s="1">
        <f t="shared" si="1"/>
        <v>47640.062335260955</v>
      </c>
    </row>
    <row r="27" spans="2:4">
      <c r="B27" s="50">
        <v>2029</v>
      </c>
      <c r="C27" s="1">
        <f t="shared" si="0"/>
        <v>23306.01675234396</v>
      </c>
      <c r="D27" s="1">
        <f t="shared" si="1"/>
        <v>48603.783505181796</v>
      </c>
    </row>
    <row r="28" spans="2:4">
      <c r="B28" s="50">
        <v>2030</v>
      </c>
      <c r="C28" s="1">
        <f t="shared" si="0"/>
        <v>24138.999999999975</v>
      </c>
      <c r="D28" s="1">
        <f t="shared" si="1"/>
        <v>49586.999999999942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calcs</vt:lpstr>
      <vt:lpstr>subs-frr</vt:lpstr>
      <vt:lpstr>pop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 Altamirano</dc:creator>
  <cp:lastModifiedBy>Julio Gonzalez Altamirano</cp:lastModifiedBy>
  <dcterms:created xsi:type="dcterms:W3CDTF">2014-05-22T19:11:49Z</dcterms:created>
  <dcterms:modified xsi:type="dcterms:W3CDTF">2014-06-17T14:53:25Z</dcterms:modified>
</cp:coreProperties>
</file>